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Storm ballklubb\Årsmøte 2019\"/>
    </mc:Choice>
  </mc:AlternateContent>
  <xr:revisionPtr revIDLastSave="0" documentId="8_{414A3668-D8BD-4379-9371-09269302250E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P23" i="1" l="1"/>
  <c r="M18" i="1"/>
  <c r="M12" i="1"/>
  <c r="P12" i="1"/>
  <c r="J18" i="1"/>
  <c r="M15" i="1"/>
  <c r="J15" i="1"/>
  <c r="M13" i="1"/>
  <c r="G18" i="1"/>
  <c r="G15" i="1"/>
  <c r="D16" i="1"/>
  <c r="D15" i="1"/>
  <c r="D18" i="1" s="1"/>
  <c r="J6" i="1"/>
  <c r="J8" i="1"/>
  <c r="J7" i="1"/>
  <c r="G6" i="1"/>
  <c r="G8" i="1"/>
  <c r="F6" i="1"/>
  <c r="G7" i="1"/>
  <c r="D7" i="1"/>
  <c r="C7" i="1"/>
  <c r="D8" i="1"/>
  <c r="D6" i="1"/>
  <c r="D19" i="1" l="1"/>
  <c r="G19" i="1"/>
  <c r="J19" i="1"/>
  <c r="M19" i="1"/>
  <c r="J10" i="1"/>
  <c r="M10" i="1"/>
  <c r="G10" i="1"/>
  <c r="G21" i="1" s="1"/>
  <c r="G25" i="1" s="1"/>
  <c r="D10" i="1"/>
  <c r="D21" i="1" s="1"/>
  <c r="D25" i="1" s="1"/>
  <c r="P8" i="1"/>
  <c r="P7" i="1"/>
  <c r="P9" i="1"/>
  <c r="P6" i="1"/>
  <c r="P13" i="1"/>
  <c r="P14" i="1"/>
  <c r="P15" i="1"/>
  <c r="P16" i="1"/>
  <c r="P17" i="1"/>
  <c r="P18" i="1"/>
  <c r="P24" i="1"/>
  <c r="O24" i="1"/>
  <c r="O23" i="1"/>
  <c r="O9" i="1"/>
  <c r="M21" i="1" l="1"/>
  <c r="M25" i="1" s="1"/>
  <c r="P10" i="1"/>
  <c r="J21" i="1"/>
  <c r="J25" i="1" s="1"/>
  <c r="P19" i="1"/>
  <c r="L15" i="1"/>
  <c r="L18" i="1"/>
  <c r="F15" i="1"/>
  <c r="C15" i="1"/>
  <c r="L17" i="1"/>
  <c r="L12" i="1"/>
  <c r="F13" i="1"/>
  <c r="O13" i="1" s="1"/>
  <c r="F17" i="1"/>
  <c r="I16" i="1"/>
  <c r="C16" i="1"/>
  <c r="O16" i="1" s="1"/>
  <c r="I15" i="1"/>
  <c r="L6" i="1"/>
  <c r="L10" i="1" s="1"/>
  <c r="I8" i="1"/>
  <c r="I7" i="1"/>
  <c r="I6" i="1"/>
  <c r="I10" i="1" s="1"/>
  <c r="F8" i="1"/>
  <c r="F10" i="1" s="1"/>
  <c r="F7" i="1"/>
  <c r="C8" i="1"/>
  <c r="C6" i="1"/>
  <c r="O6" i="1" s="1"/>
  <c r="C18" i="1" l="1"/>
  <c r="C19" i="1" s="1"/>
  <c r="O15" i="1"/>
  <c r="O8" i="1"/>
  <c r="L19" i="1"/>
  <c r="O12" i="1"/>
  <c r="O7" i="1"/>
  <c r="I18" i="1"/>
  <c r="I19" i="1" s="1"/>
  <c r="I21" i="1" s="1"/>
  <c r="I25" i="1" s="1"/>
  <c r="O17" i="1"/>
  <c r="L21" i="1"/>
  <c r="L25" i="1" s="1"/>
  <c r="C10" i="1"/>
  <c r="F18" i="1"/>
  <c r="O18" i="1" l="1"/>
  <c r="O19" i="1" s="1"/>
  <c r="O21" i="1" s="1"/>
  <c r="F19" i="1"/>
  <c r="P21" i="1" s="1"/>
  <c r="P25" i="1" s="1"/>
  <c r="O10" i="1"/>
  <c r="C21" i="1"/>
  <c r="C25" i="1" s="1"/>
  <c r="O25" i="1" l="1"/>
  <c r="F21" i="1"/>
  <c r="F25" i="1" s="1"/>
</calcChain>
</file>

<file path=xl/sharedStrings.xml><?xml version="1.0" encoding="utf-8"?>
<sst xmlns="http://schemas.openxmlformats.org/spreadsheetml/2006/main" count="23" uniqueCount="23">
  <si>
    <t>Turn</t>
  </si>
  <si>
    <t xml:space="preserve">Ball </t>
  </si>
  <si>
    <t>Hovedforening</t>
  </si>
  <si>
    <t>Totalt</t>
  </si>
  <si>
    <t>Salgsinntekter</t>
  </si>
  <si>
    <t>Annen driftsinntekt</t>
  </si>
  <si>
    <t>Tilskudd</t>
  </si>
  <si>
    <t>Kontigenter</t>
  </si>
  <si>
    <t>Sum inntekter</t>
  </si>
  <si>
    <t>Varekostnader</t>
  </si>
  <si>
    <t>Lønnskostnader</t>
  </si>
  <si>
    <t>Avskrivninger på driftsmidler</t>
  </si>
  <si>
    <t>Utstyr/materiell</t>
  </si>
  <si>
    <t>Kostnader lokaler</t>
  </si>
  <si>
    <t>Bilgodtgjørelse</t>
  </si>
  <si>
    <t>Andre driftskostnader</t>
  </si>
  <si>
    <t>Sum driftskostnader</t>
  </si>
  <si>
    <t>Driftsresultat</t>
  </si>
  <si>
    <t>Rente og finansinntekter</t>
  </si>
  <si>
    <t>Rente og finanskostnader</t>
  </si>
  <si>
    <t>Resultat</t>
  </si>
  <si>
    <t>Avdelingsoversikt IF Storm 2018</t>
  </si>
  <si>
    <t>Andre 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</si>
</sst>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2" xfId="3"/>
    <xf numFmtId="0" fontId="2" fillId="0" borderId="1" xfId="2"/>
    <xf numFmtId="0" fontId="2" fillId="0" borderId="1" xfId="2" applyAlignment="1">
      <alignment wrapText="1"/>
    </xf>
    <xf numFmtId="0" fontId="1" fillId="0" borderId="0" xfId="1"/>
    <xf numFmtId="164" fontId="0" fillId="0" borderId="0" xfId="4" applyFont="1"/>
    <xf numFmtId="164" fontId="0" fillId="0" borderId="0" xfId="0" applyNumberFormat="1"/>
    <xf numFmtId="165" fontId="0" fillId="0" borderId="0" xfId="4" applyNumberFormat="1" applyFont="1"/>
    <xf numFmtId="165" fontId="3" fillId="0" borderId="2" xfId="4" applyNumberFormat="1" applyFont="1" applyBorder="1"/>
    <xf numFmtId="165" fontId="3" fillId="0" borderId="0" xfId="4" applyNumberFormat="1" applyFont="1"/>
    <xf numFmtId="0" fontId="0" fillId="0" borderId="0" xfId="0" applyAlignment="1">
      <alignment horizontal="center" vertical="center"/>
    </xf>
    <xf numFmtId="165" fontId="3" fillId="0" borderId="2" xfId="4" applyNumberFormat="1" applyFont="1" applyBorder="1" applyAlignment="1">
      <alignment horizontal="right"/>
    </xf>
    <xf numFmtId="165" fontId="0" fillId="0" borderId="0" xfId="4" applyNumberFormat="1" applyFont="1" applyAlignment="1">
      <alignment horizontal="right"/>
    </xf>
    <xf numFmtId="0" fontId="2" fillId="0" borderId="0" xfId="5" applyAlignment="1">
      <alignment horizontal="center" vertical="center"/>
    </xf>
    <xf numFmtId="0" fontId="2" fillId="0" borderId="1" xfId="2" applyAlignment="1">
      <alignment horizontal="center"/>
    </xf>
    <xf numFmtId="0" fontId="2" fillId="0" borderId="1" xfId="2" applyAlignment="1">
      <alignment horizontal="center" wrapText="1"/>
    </xf>
  </cellXfs>
  <cellStyles count="6">
    <cellStyle name="Komma" xfId="4" builtinId="3"/>
    <cellStyle name="Normal" xfId="0" builtinId="0"/>
    <cellStyle name="Overskrift 3" xfId="2" builtinId="18"/>
    <cellStyle name="Overskrift 4" xfId="5" builtinId="19"/>
    <cellStyle name="Tittel" xfId="1" builtinId="15"/>
    <cellStyle name="Totalt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6"/>
  <sheetViews>
    <sheetView tabSelected="1" workbookViewId="0">
      <selection activeCell="I16" sqref="I16"/>
    </sheetView>
  </sheetViews>
  <sheetFormatPr baseColWidth="10" defaultRowHeight="14.4" x14ac:dyDescent="0.3"/>
  <cols>
    <col min="2" max="2" width="31.5546875" customWidth="1"/>
    <col min="3" max="3" width="12" customWidth="1"/>
    <col min="4" max="4" width="10.109375" customWidth="1"/>
    <col min="5" max="5" width="8.33203125" customWidth="1"/>
    <col min="6" max="7" width="11.44140625" customWidth="1"/>
    <col min="8" max="8" width="7.44140625" customWidth="1"/>
    <col min="9" max="10" width="11" customWidth="1"/>
    <col min="11" max="11" width="8.44140625" customWidth="1"/>
    <col min="12" max="13" width="9.88671875" customWidth="1"/>
    <col min="14" max="14" width="8.109375" customWidth="1"/>
    <col min="15" max="16" width="11.44140625" customWidth="1"/>
    <col min="18" max="18" width="12.88671875" bestFit="1" customWidth="1"/>
  </cols>
  <sheetData>
    <row r="1" spans="2:18" ht="23.4" x14ac:dyDescent="0.45">
      <c r="B1" s="4" t="s">
        <v>21</v>
      </c>
    </row>
    <row r="3" spans="2:18" ht="30.75" customHeight="1" thickBot="1" x14ac:dyDescent="0.35">
      <c r="B3" s="2"/>
      <c r="C3" s="14" t="s">
        <v>2</v>
      </c>
      <c r="D3" s="14"/>
      <c r="E3" s="2"/>
      <c r="F3" s="14" t="s">
        <v>1</v>
      </c>
      <c r="G3" s="14"/>
      <c r="H3" s="2"/>
      <c r="I3" s="14" t="s">
        <v>0</v>
      </c>
      <c r="J3" s="14"/>
      <c r="K3" s="2"/>
      <c r="L3" s="15" t="s">
        <v>22</v>
      </c>
      <c r="M3" s="15"/>
      <c r="N3" s="3"/>
      <c r="O3" s="14" t="s">
        <v>3</v>
      </c>
      <c r="P3" s="14"/>
    </row>
    <row r="4" spans="2:18" x14ac:dyDescent="0.3">
      <c r="B4" s="10"/>
      <c r="C4" s="13">
        <v>2018</v>
      </c>
      <c r="D4" s="13">
        <v>2017</v>
      </c>
      <c r="E4" s="13"/>
      <c r="F4" s="13">
        <v>2018</v>
      </c>
      <c r="G4" s="13">
        <v>2017</v>
      </c>
      <c r="H4" s="13"/>
      <c r="I4" s="13">
        <v>2018</v>
      </c>
      <c r="J4" s="13">
        <v>2017</v>
      </c>
      <c r="K4" s="13"/>
      <c r="L4" s="13">
        <v>2018</v>
      </c>
      <c r="M4" s="13">
        <v>2017</v>
      </c>
      <c r="N4" s="13"/>
      <c r="O4" s="13">
        <v>2018</v>
      </c>
      <c r="P4" s="13">
        <v>2017</v>
      </c>
      <c r="R4" s="6"/>
    </row>
    <row r="5" spans="2:18" x14ac:dyDescent="0.3">
      <c r="R5" s="6"/>
    </row>
    <row r="6" spans="2:18" x14ac:dyDescent="0.3">
      <c r="B6" t="s">
        <v>4</v>
      </c>
      <c r="C6" s="7">
        <f>15150+40811+1116501-697628+1250+2932</f>
        <v>479016</v>
      </c>
      <c r="D6" s="7">
        <f>17930+57652+383728</f>
        <v>459310</v>
      </c>
      <c r="E6" s="7"/>
      <c r="F6" s="7">
        <f>56075+609920+199029.45+12750+126940+182699+40811+60000</f>
        <v>1288224.45</v>
      </c>
      <c r="G6" s="7">
        <f>34698+551800+81621+67038+327264+57652+1000+34400</f>
        <v>1155473</v>
      </c>
      <c r="H6" s="7"/>
      <c r="I6" s="7">
        <f>451348.38+47000+62570+27850+30060+31275</f>
        <v>650103.38</v>
      </c>
      <c r="J6" s="7">
        <f>469568.01+33764+19550+34129+11124</f>
        <v>568135.01</v>
      </c>
      <c r="K6" s="7"/>
      <c r="L6" s="7">
        <f>26950</f>
        <v>26950</v>
      </c>
      <c r="M6" s="7">
        <v>24974</v>
      </c>
      <c r="N6" s="7"/>
      <c r="O6" s="7">
        <f>C6+F6+I6+L6</f>
        <v>2444293.83</v>
      </c>
      <c r="P6" s="7">
        <f>D6+G6+J6+M6</f>
        <v>2207892.0099999998</v>
      </c>
      <c r="R6" s="6"/>
    </row>
    <row r="7" spans="2:18" x14ac:dyDescent="0.3">
      <c r="B7" t="s">
        <v>5</v>
      </c>
      <c r="C7" s="7">
        <f>12519.15+17500+56146-122600+200148</f>
        <v>163713.15</v>
      </c>
      <c r="D7" s="7">
        <f>59811+420887-4040+98049</f>
        <v>574707</v>
      </c>
      <c r="E7" s="7"/>
      <c r="F7" s="7">
        <f>102840+81314.59+128001.52+75000+16081-10000</f>
        <v>393237.11</v>
      </c>
      <c r="G7" s="7">
        <f>114191.01+33341+220840.25+48515-10000+32750</f>
        <v>439637.26</v>
      </c>
      <c r="H7" s="7"/>
      <c r="I7" s="7">
        <f>20682.02+57450+1550+47600</f>
        <v>127282.02</v>
      </c>
      <c r="J7" s="7">
        <f>18218+17144+60735+17146</f>
        <v>113243</v>
      </c>
      <c r="K7" s="7"/>
      <c r="L7" s="7"/>
      <c r="M7" s="7"/>
      <c r="N7" s="7"/>
      <c r="O7" s="7">
        <f>C7+F7+I7+L7</f>
        <v>684232.28</v>
      </c>
      <c r="P7" s="7">
        <f t="shared" ref="P7:P9" si="0">D7+G7+J7+M7</f>
        <v>1127587.26</v>
      </c>
    </row>
    <row r="8" spans="2:18" x14ac:dyDescent="0.3">
      <c r="B8" t="s">
        <v>6</v>
      </c>
      <c r="C8" s="7">
        <f>12000+256233.71</f>
        <v>268233.70999999996</v>
      </c>
      <c r="D8" s="7">
        <f>365000+198661.84</f>
        <v>563661.84</v>
      </c>
      <c r="E8" s="7"/>
      <c r="F8" s="7">
        <f>27364+15000</f>
        <v>42364</v>
      </c>
      <c r="G8" s="7">
        <f>7500+6500</f>
        <v>14000</v>
      </c>
      <c r="H8" s="7"/>
      <c r="I8" s="7">
        <f>200+45160.5+23281.87</f>
        <v>68642.37</v>
      </c>
      <c r="J8" s="7">
        <f>26450+25252.59</f>
        <v>51702.59</v>
      </c>
      <c r="K8" s="7"/>
      <c r="L8" s="7"/>
      <c r="M8" s="7"/>
      <c r="N8" s="7"/>
      <c r="O8" s="7">
        <f>C8+F8+I8+L8</f>
        <v>379240.07999999996</v>
      </c>
      <c r="P8" s="7">
        <f t="shared" si="0"/>
        <v>629364.42999999993</v>
      </c>
    </row>
    <row r="9" spans="2:18" x14ac:dyDescent="0.3">
      <c r="B9" t="s">
        <v>7</v>
      </c>
      <c r="C9" s="7">
        <v>201958.25</v>
      </c>
      <c r="D9" s="7">
        <v>154865</v>
      </c>
      <c r="E9" s="7"/>
      <c r="F9" s="7"/>
      <c r="G9" s="7"/>
      <c r="H9" s="7"/>
      <c r="I9" s="7"/>
      <c r="J9" s="7"/>
      <c r="K9" s="7"/>
      <c r="L9" s="7"/>
      <c r="M9" s="7"/>
      <c r="N9" s="7"/>
      <c r="O9" s="7">
        <f>C9</f>
        <v>201958.25</v>
      </c>
      <c r="P9" s="7">
        <f t="shared" si="0"/>
        <v>154865</v>
      </c>
    </row>
    <row r="10" spans="2:18" ht="15" thickBot="1" x14ac:dyDescent="0.35">
      <c r="B10" s="1" t="s">
        <v>8</v>
      </c>
      <c r="C10" s="8">
        <f>SUM(C6:C9)</f>
        <v>1112921.1099999999</v>
      </c>
      <c r="D10" s="8">
        <f>SUM(D6:D9)</f>
        <v>1752543.8399999999</v>
      </c>
      <c r="E10" s="8"/>
      <c r="F10" s="8">
        <f>SUM(F6:F8)</f>
        <v>1723825.56</v>
      </c>
      <c r="G10" s="8">
        <f>SUM(G6:G8)</f>
        <v>1609110.26</v>
      </c>
      <c r="H10" s="8"/>
      <c r="I10" s="8">
        <f>SUM(I6:I8)</f>
        <v>846027.77</v>
      </c>
      <c r="J10" s="8">
        <f t="shared" ref="J10:M10" si="1">SUM(J6:J8)</f>
        <v>733080.6</v>
      </c>
      <c r="K10" s="8"/>
      <c r="L10" s="8">
        <f t="shared" si="1"/>
        <v>26950</v>
      </c>
      <c r="M10" s="8">
        <f t="shared" si="1"/>
        <v>24974</v>
      </c>
      <c r="N10" s="8"/>
      <c r="O10" s="8">
        <f>SUM(O6:O9)</f>
        <v>3709724.4400000004</v>
      </c>
      <c r="P10" s="8">
        <f>SUM(P6:P9)</f>
        <v>4119708.6999999993</v>
      </c>
    </row>
    <row r="11" spans="2:18" ht="15" thickTop="1" x14ac:dyDescent="0.3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8" x14ac:dyDescent="0.3">
      <c r="B12" t="s">
        <v>9</v>
      </c>
      <c r="C12" s="7">
        <v>30441</v>
      </c>
      <c r="D12" s="7">
        <v>36104</v>
      </c>
      <c r="E12" s="7"/>
      <c r="F12" s="7">
        <v>1024192.12</v>
      </c>
      <c r="G12" s="7">
        <v>712308.3</v>
      </c>
      <c r="H12" s="7"/>
      <c r="I12" s="7">
        <v>218775.03</v>
      </c>
      <c r="J12" s="7">
        <v>297207</v>
      </c>
      <c r="K12" s="7"/>
      <c r="L12" s="7">
        <f>1286875-1273408</f>
        <v>13467</v>
      </c>
      <c r="M12" s="7">
        <f>1080894-1045619</f>
        <v>35275</v>
      </c>
      <c r="N12" s="7"/>
      <c r="O12" s="7">
        <f>C12+F12+I12+L12</f>
        <v>1286875.1500000001</v>
      </c>
      <c r="P12" s="7">
        <f>D12+G12+J12+M12</f>
        <v>1080894.3</v>
      </c>
    </row>
    <row r="13" spans="2:18" x14ac:dyDescent="0.3">
      <c r="B13" t="s">
        <v>10</v>
      </c>
      <c r="C13" s="7">
        <v>41452.28</v>
      </c>
      <c r="D13" s="7">
        <v>48894.29</v>
      </c>
      <c r="E13" s="7"/>
      <c r="F13" s="7">
        <f>286496.11+4505</f>
        <v>291001.11</v>
      </c>
      <c r="G13" s="7">
        <v>230668.5</v>
      </c>
      <c r="H13" s="7"/>
      <c r="I13" s="7">
        <v>398981.13</v>
      </c>
      <c r="J13" s="7">
        <v>339770.1</v>
      </c>
      <c r="K13" s="7"/>
      <c r="M13" s="7">
        <f>627960-619333</f>
        <v>8627</v>
      </c>
      <c r="N13" s="7"/>
      <c r="O13" s="7">
        <f>C13+F13+I13+L13</f>
        <v>731434.52</v>
      </c>
      <c r="P13" s="7">
        <f>D13+G13+J13+M13</f>
        <v>627959.8899999999</v>
      </c>
    </row>
    <row r="14" spans="2:18" x14ac:dyDescent="0.3">
      <c r="B14" t="s">
        <v>11</v>
      </c>
      <c r="C14" s="7">
        <v>292327</v>
      </c>
      <c r="D14" s="7">
        <v>16326.74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>C14+F14+I14+L14</f>
        <v>292327</v>
      </c>
      <c r="P14" s="7">
        <f t="shared" ref="P14:P18" si="2">D14+G14+J14+M14</f>
        <v>16326.74</v>
      </c>
    </row>
    <row r="15" spans="2:18" x14ac:dyDescent="0.3">
      <c r="B15" t="s">
        <v>12</v>
      </c>
      <c r="C15" s="7">
        <f>37159.98+97984.13+27909.01+81575.85+117267</f>
        <v>361895.97000000003</v>
      </c>
      <c r="D15" s="7">
        <f>27618.75+8928.98+1164.06+84883+28531+24081.58+72616.05</f>
        <v>247823.41999999998</v>
      </c>
      <c r="E15" s="7"/>
      <c r="F15" s="7">
        <f>244743.81+81769.62+24+11105.23+7000</f>
        <v>344642.66</v>
      </c>
      <c r="G15" s="7">
        <f>227156.9+185+62670.49+4142.09</f>
        <v>294154.48000000004</v>
      </c>
      <c r="H15" s="7"/>
      <c r="I15" s="7">
        <f>64606.31+4341.34+60850.51</f>
        <v>129798.16</v>
      </c>
      <c r="J15" s="7">
        <f>106444.01+668.3</f>
        <v>107112.31</v>
      </c>
      <c r="K15" s="7"/>
      <c r="L15" s="7">
        <f>890352-836337</f>
        <v>54015</v>
      </c>
      <c r="M15" s="7">
        <f>670031-649090</f>
        <v>20941</v>
      </c>
      <c r="N15" s="7"/>
      <c r="O15" s="7">
        <f>C15+F15+I15+L15</f>
        <v>890351.79</v>
      </c>
      <c r="P15" s="7">
        <f t="shared" si="2"/>
        <v>670031.21</v>
      </c>
    </row>
    <row r="16" spans="2:18" x14ac:dyDescent="0.3">
      <c r="B16" t="s">
        <v>13</v>
      </c>
      <c r="C16" s="7">
        <f>645+34412.59+135904.64+19056.54+642.2+8829.19</f>
        <v>199490.16000000003</v>
      </c>
      <c r="D16" s="7">
        <f>12108+151096.17+1433.9</f>
        <v>164638.07</v>
      </c>
      <c r="E16" s="7"/>
      <c r="F16" s="7"/>
      <c r="G16" s="7"/>
      <c r="H16" s="7"/>
      <c r="I16" s="7">
        <f>1299</f>
        <v>1299</v>
      </c>
      <c r="J16" s="7"/>
      <c r="K16" s="7"/>
      <c r="L16" s="7"/>
      <c r="M16" s="7"/>
      <c r="N16" s="7"/>
      <c r="O16" s="7">
        <f>C16+I16</f>
        <v>200789.16000000003</v>
      </c>
      <c r="P16" s="7">
        <f t="shared" si="2"/>
        <v>164638.07</v>
      </c>
      <c r="R16" s="9"/>
    </row>
    <row r="17" spans="2:20" x14ac:dyDescent="0.3">
      <c r="B17" t="s">
        <v>14</v>
      </c>
      <c r="C17" s="7"/>
      <c r="D17" s="7"/>
      <c r="E17" s="7"/>
      <c r="F17" s="7">
        <f>151389.24+11726.17</f>
        <v>163115.41</v>
      </c>
      <c r="G17" s="7">
        <v>63141</v>
      </c>
      <c r="H17" s="7"/>
      <c r="I17" s="7"/>
      <c r="J17" s="7"/>
      <c r="K17" s="7"/>
      <c r="L17" s="7">
        <f>167063-163115</f>
        <v>3948</v>
      </c>
      <c r="M17" s="7"/>
      <c r="N17" s="7"/>
      <c r="O17" s="7">
        <f>L17+F17</f>
        <v>167063.41</v>
      </c>
      <c r="P17" s="7">
        <f t="shared" si="2"/>
        <v>63141</v>
      </c>
    </row>
    <row r="18" spans="2:20" x14ac:dyDescent="0.3">
      <c r="B18" t="s">
        <v>15</v>
      </c>
      <c r="C18" s="7">
        <f>947744.59-C12-C13-C15-C16</f>
        <v>314465.17999999988</v>
      </c>
      <c r="D18" s="7">
        <f>729036.93-D12-D13-D14-D16-D15</f>
        <v>215250.41000000003</v>
      </c>
      <c r="E18" s="7"/>
      <c r="F18" s="7">
        <f>1858781.12-F12-F13-F15-F17</f>
        <v>35829.820000000153</v>
      </c>
      <c r="G18" s="7">
        <f>1555533.41-G12-G13-G15-G17</f>
        <v>255261.12999999983</v>
      </c>
      <c r="H18" s="7"/>
      <c r="I18" s="7">
        <f>767465.8-I12-I13-I15-I16</f>
        <v>18612.48000000001</v>
      </c>
      <c r="J18" s="7">
        <f>759663.7-J12-J15-J13</f>
        <v>15574.289999999979</v>
      </c>
      <c r="K18" s="7"/>
      <c r="L18" s="7">
        <f>369307-368907</f>
        <v>400</v>
      </c>
      <c r="M18" s="7">
        <f>479438-486086</f>
        <v>-6648</v>
      </c>
      <c r="N18" s="7"/>
      <c r="O18" s="7">
        <f>C18+F18+I18+L18</f>
        <v>369307.48</v>
      </c>
      <c r="P18" s="7">
        <f t="shared" si="2"/>
        <v>479437.82999999984</v>
      </c>
      <c r="T18" s="5"/>
    </row>
    <row r="19" spans="2:20" ht="15" thickBot="1" x14ac:dyDescent="0.35">
      <c r="B19" s="1" t="s">
        <v>16</v>
      </c>
      <c r="C19" s="8">
        <f>SUM(C12:C18)</f>
        <v>1240071.5899999999</v>
      </c>
      <c r="D19" s="8">
        <f t="shared" ref="D19:M19" si="3">SUM(D12:D18)</f>
        <v>729036.93</v>
      </c>
      <c r="E19" s="8"/>
      <c r="F19" s="8">
        <f t="shared" si="3"/>
        <v>1858781.1199999999</v>
      </c>
      <c r="G19" s="8">
        <f t="shared" si="3"/>
        <v>1555533.41</v>
      </c>
      <c r="H19" s="8"/>
      <c r="I19" s="8">
        <f t="shared" si="3"/>
        <v>767465.8</v>
      </c>
      <c r="J19" s="8">
        <f t="shared" si="3"/>
        <v>759663.7</v>
      </c>
      <c r="K19" s="8"/>
      <c r="L19" s="8">
        <f t="shared" si="3"/>
        <v>71830</v>
      </c>
      <c r="M19" s="8">
        <f t="shared" si="3"/>
        <v>58195</v>
      </c>
      <c r="N19" s="8"/>
      <c r="O19" s="8">
        <f>SUM(O12:O18)</f>
        <v>3938148.5100000002</v>
      </c>
      <c r="P19" s="8">
        <f>D19+G19+J19+M19</f>
        <v>3102429.04</v>
      </c>
    </row>
    <row r="20" spans="2:20" ht="15" thickTop="1" x14ac:dyDescent="0.3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20" ht="15" thickBot="1" x14ac:dyDescent="0.35">
      <c r="B21" s="1" t="s">
        <v>17</v>
      </c>
      <c r="C21" s="11">
        <f>C10-C19</f>
        <v>-127150.47999999998</v>
      </c>
      <c r="D21" s="8">
        <f>D10-D19</f>
        <v>1023506.9099999998</v>
      </c>
      <c r="E21" s="8"/>
      <c r="F21" s="8">
        <f t="shared" ref="F21:P21" si="4">F10-F19</f>
        <v>-134955.55999999982</v>
      </c>
      <c r="G21" s="8">
        <f t="shared" si="4"/>
        <v>53576.850000000093</v>
      </c>
      <c r="H21" s="8"/>
      <c r="I21" s="8">
        <f t="shared" si="4"/>
        <v>78561.969999999972</v>
      </c>
      <c r="J21" s="8">
        <f t="shared" si="4"/>
        <v>-26583.099999999977</v>
      </c>
      <c r="K21" s="8"/>
      <c r="L21" s="8">
        <f t="shared" si="4"/>
        <v>-44880</v>
      </c>
      <c r="M21" s="8">
        <f t="shared" si="4"/>
        <v>-33221</v>
      </c>
      <c r="N21" s="8"/>
      <c r="O21" s="8">
        <f>O10-O19</f>
        <v>-228424.06999999983</v>
      </c>
      <c r="P21" s="8">
        <f t="shared" si="4"/>
        <v>1017279.6599999992</v>
      </c>
    </row>
    <row r="22" spans="2:20" ht="15" thickTop="1" x14ac:dyDescent="0.3">
      <c r="C22" s="1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20" x14ac:dyDescent="0.3">
      <c r="B23" t="s">
        <v>19</v>
      </c>
      <c r="C23" s="12">
        <v>242880.69</v>
      </c>
      <c r="D23" s="7">
        <v>376836.05</v>
      </c>
      <c r="E23" s="7"/>
      <c r="F23" s="7">
        <v>71</v>
      </c>
      <c r="G23" s="7">
        <v>140.6</v>
      </c>
      <c r="H23" s="7"/>
      <c r="I23" s="7">
        <v>950.87</v>
      </c>
      <c r="J23" s="7">
        <v>1459.75</v>
      </c>
      <c r="K23" s="7"/>
      <c r="L23" s="7">
        <v>673.38</v>
      </c>
      <c r="M23" s="7"/>
      <c r="N23" s="7"/>
      <c r="O23" s="7">
        <f>C23+F23+I23+L23</f>
        <v>244575.94</v>
      </c>
      <c r="P23" s="7">
        <f>D23+G23+J23+M23</f>
        <v>378436.39999999997</v>
      </c>
    </row>
    <row r="24" spans="2:20" x14ac:dyDescent="0.3">
      <c r="B24" t="s">
        <v>18</v>
      </c>
      <c r="C24" s="12">
        <v>19533.740000000002</v>
      </c>
      <c r="D24" s="7">
        <v>13768.11</v>
      </c>
      <c r="E24" s="7"/>
      <c r="F24" s="7">
        <v>162</v>
      </c>
      <c r="G24" s="7">
        <v>467</v>
      </c>
      <c r="H24" s="7"/>
      <c r="I24" s="7">
        <v>2904</v>
      </c>
      <c r="J24" s="7">
        <v>2286</v>
      </c>
      <c r="K24" s="7"/>
      <c r="L24" s="7">
        <v>62</v>
      </c>
      <c r="M24" s="7">
        <v>45</v>
      </c>
      <c r="N24" s="7"/>
      <c r="O24" s="7">
        <f>C24+F24+I24+L24</f>
        <v>22661.74</v>
      </c>
      <c r="P24" s="7">
        <f>D24+G24+J24+M24</f>
        <v>16566.11</v>
      </c>
    </row>
    <row r="25" spans="2:20" ht="15" thickBot="1" x14ac:dyDescent="0.35">
      <c r="B25" s="1" t="s">
        <v>20</v>
      </c>
      <c r="C25" s="11">
        <f>C21-C23+C24</f>
        <v>-350497.43</v>
      </c>
      <c r="D25" s="8">
        <f>D21-D23+D24</f>
        <v>660438.96999999986</v>
      </c>
      <c r="E25" s="8"/>
      <c r="F25" s="8">
        <f t="shared" ref="F25:M25" si="5">F21-F23+F24</f>
        <v>-134864.55999999982</v>
      </c>
      <c r="G25" s="8">
        <f t="shared" si="5"/>
        <v>53903.250000000095</v>
      </c>
      <c r="H25" s="8"/>
      <c r="I25" s="8">
        <f t="shared" si="5"/>
        <v>80515.099999999977</v>
      </c>
      <c r="J25" s="8">
        <f t="shared" si="5"/>
        <v>-25756.849999999977</v>
      </c>
      <c r="K25" s="8"/>
      <c r="L25" s="8">
        <f t="shared" si="5"/>
        <v>-45491.38</v>
      </c>
      <c r="M25" s="8">
        <f t="shared" si="5"/>
        <v>-33176</v>
      </c>
      <c r="N25" s="8"/>
      <c r="O25" s="8">
        <f>O21-O23+O24</f>
        <v>-450338.26999999984</v>
      </c>
      <c r="P25" s="8">
        <f>P21-P23+P24</f>
        <v>655409.3699999993</v>
      </c>
    </row>
    <row r="26" spans="2:20" ht="15" thickTop="1" x14ac:dyDescent="0.3"/>
  </sheetData>
  <mergeCells count="5">
    <mergeCell ref="F3:G3"/>
    <mergeCell ref="C3:D3"/>
    <mergeCell ref="I3:J3"/>
    <mergeCell ref="L3:M3"/>
    <mergeCell ref="O3:P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UNIC 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Løberg</dc:creator>
  <cp:lastModifiedBy>Håkon</cp:lastModifiedBy>
  <cp:lastPrinted>2019-03-21T20:42:42Z</cp:lastPrinted>
  <dcterms:created xsi:type="dcterms:W3CDTF">2019-03-13T07:38:28Z</dcterms:created>
  <dcterms:modified xsi:type="dcterms:W3CDTF">2019-03-21T21:22:09Z</dcterms:modified>
</cp:coreProperties>
</file>